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7RR0\"/>
    </mc:Choice>
  </mc:AlternateContent>
  <bookViews>
    <workbookView xWindow="-105" yWindow="-105" windowWidth="23250" windowHeight="12570"/>
  </bookViews>
  <sheets>
    <sheet name="CT7R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3" i="1" l="1"/>
  <c r="X23" i="1" l="1"/>
  <c r="Y2" i="1"/>
  <c r="Z16" i="1"/>
  <c r="Y16" i="1"/>
  <c r="Y15" i="1"/>
  <c r="Z15" i="1" s="1"/>
  <c r="Z14" i="1"/>
  <c r="Y14" i="1"/>
  <c r="Y13" i="1"/>
  <c r="Z13" i="1" s="1"/>
  <c r="Z12" i="1"/>
  <c r="Y12" i="1"/>
  <c r="Y11" i="1"/>
  <c r="Z11" i="1" s="1"/>
  <c r="Z10" i="1"/>
  <c r="Y10" i="1"/>
  <c r="Y9" i="1"/>
  <c r="Z9" i="1" s="1"/>
  <c r="Z8" i="1"/>
  <c r="Y8" i="1"/>
  <c r="Y7" i="1"/>
  <c r="Z7" i="1" s="1"/>
  <c r="Z6" i="1"/>
  <c r="Y6" i="1"/>
  <c r="Y5" i="1"/>
  <c r="Z5" i="1" s="1"/>
  <c r="Z4" i="1"/>
  <c r="Y4" i="1"/>
  <c r="Y3" i="1"/>
  <c r="Z3" i="1" s="1"/>
  <c r="Z2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F10" i="1"/>
  <c r="F3" i="1"/>
  <c r="F4" i="1"/>
  <c r="F5" i="1"/>
  <c r="F6" i="1"/>
  <c r="F7" i="1"/>
  <c r="F8" i="1"/>
  <c r="F9" i="1"/>
  <c r="F11" i="1"/>
  <c r="F12" i="1"/>
  <c r="F13" i="1"/>
  <c r="F14" i="1"/>
  <c r="F15" i="1"/>
  <c r="F16" i="1"/>
  <c r="F17" i="1"/>
  <c r="H17" i="1" s="1"/>
  <c r="F2" i="1"/>
  <c r="H10" i="1" l="1"/>
  <c r="H14" i="1"/>
  <c r="H9" i="1"/>
  <c r="H5" i="1"/>
  <c r="H13" i="1"/>
  <c r="H4" i="1"/>
  <c r="H8" i="1"/>
  <c r="H16" i="1"/>
  <c r="H12" i="1"/>
  <c r="H7" i="1"/>
  <c r="H3" i="1"/>
  <c r="H15" i="1"/>
  <c r="H11" i="1"/>
  <c r="H6" i="1"/>
  <c r="H2" i="1"/>
  <c r="AA16" i="1" l="1"/>
  <c r="AA15" i="1"/>
  <c r="AA14" i="1"/>
  <c r="AA13" i="1"/>
  <c r="AA12" i="1"/>
  <c r="AA11" i="1"/>
  <c r="AA10" i="1"/>
  <c r="AE9" i="1"/>
  <c r="AA9" i="1"/>
  <c r="AA8" i="1"/>
  <c r="AA7" i="1"/>
  <c r="AA6" i="1"/>
  <c r="AA5" i="1"/>
  <c r="AA4" i="1"/>
  <c r="AE3" i="1"/>
  <c r="AA3" i="1"/>
  <c r="AA2" i="1"/>
  <c r="AB2" i="1" l="1"/>
  <c r="AB10" i="1"/>
  <c r="AB7" i="1"/>
  <c r="AB4" i="1"/>
  <c r="AB14" i="1"/>
  <c r="AB5" i="1"/>
  <c r="AB11" i="1"/>
  <c r="AB3" i="1"/>
  <c r="AB6" i="1"/>
  <c r="AB9" i="1"/>
  <c r="AB16" i="1"/>
  <c r="AB15" i="1"/>
  <c r="AB8" i="1"/>
  <c r="AB13" i="1"/>
  <c r="AB1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K4" i="1" s="1"/>
  <c r="L4" i="1" s="1"/>
  <c r="I5" i="1"/>
  <c r="K5" i="1" s="1"/>
  <c r="L5" i="1" s="1"/>
  <c r="I6" i="1"/>
  <c r="K6" i="1" s="1"/>
  <c r="L6" i="1" s="1"/>
  <c r="I7" i="1"/>
  <c r="K7" i="1" s="1"/>
  <c r="L7" i="1" s="1"/>
  <c r="I8" i="1"/>
  <c r="K8" i="1" s="1"/>
  <c r="L8" i="1" s="1"/>
  <c r="I9" i="1"/>
  <c r="K9" i="1" s="1"/>
  <c r="L9" i="1" s="1"/>
  <c r="I10" i="1"/>
  <c r="K10" i="1" s="1"/>
  <c r="L10" i="1" s="1"/>
  <c r="I11" i="1"/>
  <c r="K11" i="1" s="1"/>
  <c r="L11" i="1" s="1"/>
  <c r="I12" i="1"/>
  <c r="K12" i="1" s="1"/>
  <c r="L12" i="1" s="1"/>
  <c r="I13" i="1"/>
  <c r="K13" i="1" s="1"/>
  <c r="L13" i="1" s="1"/>
  <c r="I14" i="1"/>
  <c r="K14" i="1" s="1"/>
  <c r="L14" i="1" s="1"/>
  <c r="I15" i="1"/>
  <c r="K15" i="1" s="1"/>
  <c r="L15" i="1" s="1"/>
  <c r="I16" i="1"/>
  <c r="K16" i="1" s="1"/>
  <c r="L16" i="1" s="1"/>
  <c r="I17" i="1"/>
  <c r="K17" i="1" s="1"/>
  <c r="L17" i="1" s="1"/>
  <c r="I2" i="1"/>
  <c r="K2" i="1" s="1"/>
  <c r="L2" i="1" s="1"/>
  <c r="M9" i="1" l="1"/>
  <c r="M14" i="1"/>
  <c r="M2" i="1"/>
  <c r="T2" i="1" s="1"/>
  <c r="M4" i="1"/>
  <c r="M5" i="1"/>
  <c r="T5" i="1" s="1"/>
  <c r="M16" i="1"/>
  <c r="M10" i="1"/>
  <c r="O9" i="1"/>
  <c r="X9" i="1"/>
  <c r="AC9" i="1" s="1"/>
  <c r="M17" i="1"/>
  <c r="T17" i="1" s="1"/>
  <c r="U17" i="1" s="1"/>
  <c r="W17" i="1" s="1"/>
  <c r="X14" i="1"/>
  <c r="AC14" i="1" s="1"/>
  <c r="O14" i="1"/>
  <c r="M8" i="1"/>
  <c r="M13" i="1"/>
  <c r="M7" i="1"/>
  <c r="X16" i="1"/>
  <c r="AC16" i="1" s="1"/>
  <c r="O16" i="1"/>
  <c r="X5" i="1"/>
  <c r="AC5" i="1" s="1"/>
  <c r="M12" i="1"/>
  <c r="M6" i="1"/>
  <c r="M15" i="1"/>
  <c r="M11" i="1"/>
  <c r="K3" i="1"/>
  <c r="N4" i="1" l="1"/>
  <c r="T4" i="1"/>
  <c r="N15" i="1"/>
  <c r="T15" i="1"/>
  <c r="N8" i="1"/>
  <c r="T8" i="1"/>
  <c r="N10" i="1"/>
  <c r="T10" i="1"/>
  <c r="V2" i="1"/>
  <c r="N6" i="1"/>
  <c r="T6" i="1"/>
  <c r="O4" i="1"/>
  <c r="Q4" i="1" s="1"/>
  <c r="N14" i="1"/>
  <c r="U14" i="1" s="1"/>
  <c r="T14" i="1"/>
  <c r="N11" i="1"/>
  <c r="T11" i="1"/>
  <c r="N13" i="1"/>
  <c r="U13" i="1" s="1"/>
  <c r="T13" i="1"/>
  <c r="N16" i="1"/>
  <c r="T16" i="1"/>
  <c r="N12" i="1"/>
  <c r="U12" i="1" s="1"/>
  <c r="T12" i="1"/>
  <c r="N7" i="1"/>
  <c r="T7" i="1"/>
  <c r="X10" i="1"/>
  <c r="AC10" i="1" s="1"/>
  <c r="N9" i="1"/>
  <c r="T9" i="1"/>
  <c r="Q14" i="1"/>
  <c r="Q9" i="1"/>
  <c r="P9" i="1"/>
  <c r="Q16" i="1"/>
  <c r="P16" i="1"/>
  <c r="O2" i="1"/>
  <c r="N2" i="1"/>
  <c r="U2" i="1" s="1"/>
  <c r="W2" i="1" s="1"/>
  <c r="O5" i="1"/>
  <c r="N5" i="1"/>
  <c r="U5" i="1" s="1"/>
  <c r="P4" i="1"/>
  <c r="X4" i="1"/>
  <c r="AC4" i="1" s="1"/>
  <c r="O10" i="1"/>
  <c r="L3" i="1"/>
  <c r="M3" i="1"/>
  <c r="O11" i="1"/>
  <c r="P11" i="1" s="1"/>
  <c r="X11" i="1"/>
  <c r="AC11" i="1" s="1"/>
  <c r="X8" i="1"/>
  <c r="AC8" i="1" s="1"/>
  <c r="O8" i="1"/>
  <c r="X12" i="1"/>
  <c r="AC12" i="1" s="1"/>
  <c r="O12" i="1"/>
  <c r="X7" i="1"/>
  <c r="AC7" i="1" s="1"/>
  <c r="O7" i="1"/>
  <c r="X17" i="1"/>
  <c r="O17" i="1"/>
  <c r="O13" i="1"/>
  <c r="X13" i="1"/>
  <c r="AC13" i="1" s="1"/>
  <c r="X15" i="1"/>
  <c r="AC15" i="1" s="1"/>
  <c r="O15" i="1"/>
  <c r="O6" i="1"/>
  <c r="X6" i="1"/>
  <c r="AC6" i="1" s="1"/>
  <c r="X2" i="1"/>
  <c r="AC2" i="1" s="1"/>
  <c r="Q2" i="1"/>
  <c r="U10" i="1" l="1"/>
  <c r="U15" i="1"/>
  <c r="U7" i="1"/>
  <c r="U16" i="1"/>
  <c r="U11" i="1"/>
  <c r="N3" i="1"/>
  <c r="T3" i="1"/>
  <c r="Q11" i="1"/>
  <c r="P14" i="1"/>
  <c r="U9" i="1"/>
  <c r="U6" i="1"/>
  <c r="U8" i="1"/>
  <c r="U4" i="1"/>
  <c r="Q13" i="1"/>
  <c r="P13" i="1"/>
  <c r="Q15" i="1"/>
  <c r="P15" i="1"/>
  <c r="Q17" i="1"/>
  <c r="P17" i="1"/>
  <c r="Q12" i="1"/>
  <c r="P12" i="1"/>
  <c r="P2" i="1"/>
  <c r="Q6" i="1"/>
  <c r="P6" i="1"/>
  <c r="Q10" i="1"/>
  <c r="P10" i="1"/>
  <c r="Q7" i="1"/>
  <c r="P7" i="1"/>
  <c r="Q8" i="1"/>
  <c r="P8" i="1"/>
  <c r="Q5" i="1"/>
  <c r="P5" i="1"/>
  <c r="O3" i="1"/>
  <c r="X3" i="1"/>
  <c r="AC3" i="1" s="1"/>
  <c r="AC23" i="1" s="1"/>
  <c r="U3" i="1" l="1"/>
  <c r="W13" i="1" s="1"/>
  <c r="W8" i="1"/>
  <c r="V6" i="1"/>
  <c r="V5" i="1"/>
  <c r="V3" i="1"/>
  <c r="V4" i="1"/>
  <c r="V15" i="1"/>
  <c r="V10" i="1"/>
  <c r="V9" i="1"/>
  <c r="V7" i="1"/>
  <c r="V8" i="1"/>
  <c r="V17" i="1"/>
  <c r="V16" i="1"/>
  <c r="V14" i="1"/>
  <c r="V13" i="1"/>
  <c r="V11" i="1"/>
  <c r="V12" i="1"/>
  <c r="W12" i="1"/>
  <c r="Q3" i="1"/>
  <c r="P3" i="1"/>
  <c r="W3" i="1" l="1"/>
  <c r="W9" i="1"/>
  <c r="W11" i="1"/>
  <c r="W10" i="1"/>
  <c r="W7" i="1"/>
  <c r="W5" i="1"/>
  <c r="W4" i="1"/>
  <c r="W6" i="1"/>
  <c r="W14" i="1"/>
  <c r="W15" i="1"/>
  <c r="W16" i="1"/>
</calcChain>
</file>

<file path=xl/sharedStrings.xml><?xml version="1.0" encoding="utf-8"?>
<sst xmlns="http://schemas.openxmlformats.org/spreadsheetml/2006/main" count="49" uniqueCount="49">
  <si>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</si>
  <si>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</si>
  <si>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</si>
  <si>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</si>
  <si>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</si>
  <si>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</si>
  <si>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</si>
  <si>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</si>
  <si>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</si>
  <si>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</si>
  <si>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CT7R 1 mL</t>
  </si>
  <si>
    <t>CT7R 2 mL</t>
  </si>
  <si>
    <t>CT7R 3 mL</t>
  </si>
  <si>
    <t>CT7R 4 mL</t>
  </si>
  <si>
    <t>CT7R 5 mL</t>
  </si>
  <si>
    <t>CT7R 6 mL</t>
  </si>
  <si>
    <t>CT7R 7 mL</t>
  </si>
  <si>
    <t>CT7R 8 mL</t>
  </si>
  <si>
    <t>CT7R 9 mL</t>
  </si>
  <si>
    <t>CT7R 10 mL</t>
  </si>
  <si>
    <t>CT7R 11 mL</t>
  </si>
  <si>
    <t>CT7R 12 mL</t>
  </si>
  <si>
    <t>CT7R 13 mL</t>
  </si>
  <si>
    <t>CT7R 14 mL</t>
  </si>
  <si>
    <t>CT7R 15 mL</t>
  </si>
  <si>
    <t>CT7R blk</t>
  </si>
  <si>
    <t>Time from 05.06.2018</t>
  </si>
  <si>
    <t>DC factor</t>
  </si>
  <si>
    <t>DC to 05.06.2018</t>
  </si>
  <si>
    <t>Decay constant of sr-90=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</si>
  <si>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</si>
  <si>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</si>
  <si>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</si>
  <si>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</si>
  <si>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</si>
  <si>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</si>
  <si>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</si>
  <si>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</si>
  <si>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</si>
  <si>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</si>
  <si>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</si>
  <si>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</si>
  <si>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</si>
  <si>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</si>
  <si>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</si>
  <si>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</si>
  <si>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</si>
  <si>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t xml:space="preserve">Sr-90 activity = 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</si>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</sst>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7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0" fillId="3" borderId="2" xfId="0" applyFill="1" applyBorder="1"/>
    <xf numFmtId="0" fontId="0" fillId="0" borderId="1" xfId="0" applyBorder="1"/>
    <xf numFmtId="0" fontId="0" fillId="3" borderId="3" xfId="0" applyFill="1" applyBorder="1"/>
    <xf numFmtId="0" fontId="0" fillId="0" borderId="2" xfId="0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7" fontId="0" fillId="3" borderId="3" xfId="0" applyNumberFormat="1" applyFill="1" applyBorder="1"/>
    <xf numFmtId="165" fontId="0" fillId="0" borderId="3" xfId="0" applyNumberFormat="1" applyBorder="1"/>
    <xf numFmtId="22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9" xfId="0" applyNumberFormat="1" applyBorder="1"/>
    <xf numFmtId="22" fontId="0" fillId="0" borderId="2" xfId="0" applyNumberFormat="1" applyBorder="1"/>
    <xf numFmtId="2" fontId="0" fillId="0" borderId="2" xfId="0" applyNumberFormat="1" applyBorder="1"/>
    <xf numFmtId="2" fontId="0" fillId="3" borderId="2" xfId="0" applyNumberFormat="1" applyFill="1" applyBorder="1"/>
    <xf numFmtId="164" fontId="0" fillId="0" borderId="2" xfId="0" applyNumberFormat="1" applyBorder="1"/>
    <xf numFmtId="167" fontId="0" fillId="3" borderId="2" xfId="0" applyNumberFormat="1" applyFill="1" applyBorder="1"/>
    <xf numFmtId="165" fontId="0" fillId="0" borderId="2" xfId="0" applyNumberFormat="1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B1" zoomScale="70" zoomScaleNormal="70" workbookViewId="0">
      <selection activeCell="D26" sqref="D2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7109375" bestFit="1" customWidth="1"/>
    <col min="4" max="4" width="22.140625" bestFit="1" customWidth="1"/>
    <col min="5" max="5" width="21.7109375" style="4" bestFit="1" customWidth="1"/>
    <col min="6" max="6" width="19.28515625" style="4" bestFit="1" customWidth="1"/>
    <col min="7" max="7" width="31.5703125" bestFit="1" customWidth="1"/>
    <col min="8" max="8" width="31.5703125" style="4" customWidth="1"/>
    <col min="9" max="9" width="17.7109375" bestFit="1" customWidth="1"/>
    <col min="10" max="10" width="19.28515625" style="4" bestFit="1" customWidth="1"/>
    <col min="11" max="11" width="17.7109375" customWidth="1"/>
    <col min="12" max="12" width="17.7109375" style="4" customWidth="1"/>
    <col min="13" max="13" width="12.140625" bestFit="1" customWidth="1"/>
    <col min="14" max="14" width="13.85546875" style="4" bestFit="1" customWidth="1"/>
    <col min="15" max="15" width="12.140625" bestFit="1" customWidth="1"/>
    <col min="16" max="16" width="13.140625" style="4" bestFit="1" customWidth="1"/>
    <col min="17" max="17" width="12" bestFit="1" customWidth="1"/>
    <col min="18" max="18" width="18.85546875" bestFit="1" customWidth="1"/>
    <col min="19" max="19" width="20.42578125" style="4" bestFit="1" customWidth="1"/>
    <col min="20" max="20" width="35.42578125" bestFit="1" customWidth="1"/>
    <col min="21" max="21" width="37" style="4" bestFit="1" customWidth="1"/>
    <col min="22" max="22" width="25.140625" bestFit="1" customWidth="1"/>
    <col min="23" max="23" width="26.42578125" style="4" bestFit="1" customWidth="1"/>
    <col min="24" max="24" width="12.7109375" bestFit="1" customWidth="1"/>
    <col min="25" max="25" width="13.5703125" style="4" bestFit="1" customWidth="1"/>
    <col min="26" max="26" width="16" style="4" bestFit="1" customWidth="1"/>
    <col min="27" max="27" width="20" bestFit="1" customWidth="1"/>
    <col min="28" max="28" width="13.140625" customWidth="1"/>
    <col min="29" max="29" width="15.42578125" bestFit="1" customWidth="1"/>
    <col min="31" max="31" width="22.7109375" bestFit="1" customWidth="1"/>
  </cols>
  <sheetData>
    <row r="1" spans="1:31" ht="15.75" thickBot="1" x14ac:dyDescent="0.3">
      <c r="A1" s="27" t="s">
        <v>2</v>
      </c>
      <c r="B1" s="28" t="s">
        <v>4</v>
      </c>
      <c r="C1" s="6" t="s">
        <v>3</v>
      </c>
      <c r="D1" s="6" t="s">
        <v>30</v>
      </c>
      <c r="E1" s="3" t="s">
        <v>31</v>
      </c>
      <c r="F1" s="3" t="s">
        <v>32</v>
      </c>
      <c r="G1" s="6" t="s">
        <v>9</v>
      </c>
      <c r="H1" s="3" t="s">
        <v>33</v>
      </c>
      <c r="I1" s="6" t="s">
        <v>0</v>
      </c>
      <c r="J1" s="3" t="s">
        <v>34</v>
      </c>
      <c r="K1" s="6" t="s">
        <v>5</v>
      </c>
      <c r="L1" s="3" t="s">
        <v>35</v>
      </c>
      <c r="M1" s="6" t="s">
        <v>6</v>
      </c>
      <c r="N1" s="3" t="s">
        <v>36</v>
      </c>
      <c r="O1" s="6" t="s">
        <v>7</v>
      </c>
      <c r="P1" s="3" t="s">
        <v>37</v>
      </c>
      <c r="Q1" s="6" t="s">
        <v>8</v>
      </c>
      <c r="R1" s="6" t="s">
        <v>38</v>
      </c>
      <c r="S1" s="3" t="s">
        <v>39</v>
      </c>
      <c r="T1" s="6" t="s">
        <v>40</v>
      </c>
      <c r="U1" s="3" t="s">
        <v>41</v>
      </c>
      <c r="V1" s="6" t="s">
        <v>42</v>
      </c>
      <c r="W1" s="3" t="s">
        <v>43</v>
      </c>
      <c r="X1" s="6" t="s">
        <v>44</v>
      </c>
      <c r="Y1" s="3" t="s">
        <v>45</v>
      </c>
      <c r="Z1" s="3" t="s">
        <v>46</v>
      </c>
      <c r="AA1" s="6" t="s">
        <v>26</v>
      </c>
      <c r="AB1" s="6" t="s">
        <v>27</v>
      </c>
      <c r="AC1" s="29" t="s">
        <v>28</v>
      </c>
    </row>
    <row r="2" spans="1:31" x14ac:dyDescent="0.25">
      <c r="A2" s="19" t="s">
        <v>10</v>
      </c>
      <c r="B2" s="20">
        <v>43257.625</v>
      </c>
      <c r="C2" s="21">
        <v>43298.790972222225</v>
      </c>
      <c r="D2" s="22">
        <v>6.96</v>
      </c>
      <c r="E2" s="23">
        <v>7</v>
      </c>
      <c r="F2" s="5">
        <f>D2*(E2/100)</f>
        <v>0.48720000000000002</v>
      </c>
      <c r="G2" s="8">
        <f>D2-$D$17</f>
        <v>-3.0000000000000249E-2</v>
      </c>
      <c r="H2" s="5">
        <f>SQRT((F2^2)+(F$17^2))</f>
        <v>0.68950141522987463</v>
      </c>
      <c r="I2" s="24">
        <f>(C2-B2)*24</f>
        <v>987.98333333339542</v>
      </c>
      <c r="J2" s="25">
        <f>1/60</f>
        <v>1.6666666666666666E-2</v>
      </c>
      <c r="K2" s="26">
        <f>1-EXP(-$AE$3*I2)</f>
        <v>0.99998567329634469</v>
      </c>
      <c r="L2" s="5">
        <f>K2*SQRT(((J2/I2)^2))</f>
        <v>1.6869138705043637E-5</v>
      </c>
      <c r="M2" s="8">
        <f>G2/((1+K2))</f>
        <v>-1.500010745104725E-2</v>
      </c>
      <c r="N2" s="5">
        <f>M2*SQRT(((H2/G2)^2)+((L2/K2)^2))</f>
        <v>-0.34475317720333226</v>
      </c>
      <c r="O2" s="8">
        <f>M2*K2</f>
        <v>-1.4999892548953002E-2</v>
      </c>
      <c r="P2" s="5">
        <f>O2*SQRT(((N2/M2)^2)+((L2/K2)^2))</f>
        <v>-0.34474823802682114</v>
      </c>
      <c r="Q2" s="8">
        <f>M2+O2</f>
        <v>-3.0000000000000252E-2</v>
      </c>
      <c r="R2" s="8">
        <v>1.1551999999999998</v>
      </c>
      <c r="S2" s="5">
        <v>1.4142135623730951E-4</v>
      </c>
      <c r="T2" s="8">
        <f>M2/R2</f>
        <v>-1.298485755803952E-2</v>
      </c>
      <c r="U2" s="5">
        <f>T2*SQRT(((S2/R2)^2)+((N2/M2)^2))</f>
        <v>-0.29843592209853098</v>
      </c>
      <c r="V2" s="8">
        <f>SUM($T$2:T2)</f>
        <v>-1.298485755803952E-2</v>
      </c>
      <c r="W2" s="5">
        <f>SQRT((U2^2))</f>
        <v>0.29843592209853098</v>
      </c>
      <c r="X2" s="8">
        <f>M2/60</f>
        <v>-2.5000179085078749E-4</v>
      </c>
      <c r="Y2" s="5">
        <f>X2*SQRT(((N2/M2)^2))</f>
        <v>-5.7458862867222045E-3</v>
      </c>
      <c r="Z2" s="5">
        <f>Y2^2</f>
        <v>3.3015209219942283E-5</v>
      </c>
      <c r="AA2" s="8">
        <f>(C2-$AE$6)*24</f>
        <v>1014.9833333333954</v>
      </c>
      <c r="AB2" s="26">
        <f>EXP(-$AE$9*AA2)</f>
        <v>0.99721527457646064</v>
      </c>
      <c r="AC2" s="8">
        <f>X2/AB2</f>
        <v>-2.5069992129529782E-4</v>
      </c>
      <c r="AE2" t="s">
        <v>1</v>
      </c>
    </row>
    <row r="3" spans="1:31" x14ac:dyDescent="0.25">
      <c r="A3" s="17" t="s">
        <v>11</v>
      </c>
      <c r="B3" s="16">
        <v>43257.625694444447</v>
      </c>
      <c r="C3" s="10">
        <v>43298.813194444447</v>
      </c>
      <c r="D3" s="11">
        <v>7.33</v>
      </c>
      <c r="E3" s="12">
        <v>6.82</v>
      </c>
      <c r="F3" s="7">
        <f t="shared" ref="F3:F17" si="0">D3*(E3/100)</f>
        <v>0.49990599999999996</v>
      </c>
      <c r="G3" s="9">
        <f t="shared" ref="G3:G17" si="1">D3-$D$17</f>
        <v>0.33999999999999986</v>
      </c>
      <c r="H3" s="7">
        <f t="shared" ref="H3:H17" si="2">SQRT((F3^2)+(F$17^2))</f>
        <v>0.69853730783688284</v>
      </c>
      <c r="I3" s="13">
        <f t="shared" ref="I3:I17" si="3">(C3-B3)*24</f>
        <v>988.5</v>
      </c>
      <c r="J3" s="14">
        <f t="shared" ref="J3:J16" si="4">1/60</f>
        <v>1.6666666666666666E-2</v>
      </c>
      <c r="K3" s="15">
        <f>1-EXP(-$AE$3*I3)</f>
        <v>0.99998575661607936</v>
      </c>
      <c r="L3" s="7">
        <f t="shared" ref="L3:L17" si="5">K3*SQRT(((J3/I3)^2))</f>
        <v>1.686032299133501E-5</v>
      </c>
      <c r="M3" s="9">
        <f>G3/((1+K3))</f>
        <v>0.1700012106962554</v>
      </c>
      <c r="N3" s="7">
        <f>M3*SQRT(((H3/G3)^2)+((L3/K3)^2))</f>
        <v>0.34927114133168191</v>
      </c>
      <c r="O3" s="9">
        <f>M3*K3</f>
        <v>0.16999878930374449</v>
      </c>
      <c r="P3" s="7">
        <f>O3*SQRT(((N3/M3)^2)+((L3/K3)^2))</f>
        <v>0.34926616654048459</v>
      </c>
      <c r="Q3" s="9">
        <f t="shared" ref="Q3:Q17" si="6">M3+O3</f>
        <v>0.33999999999999986</v>
      </c>
      <c r="R3" s="9">
        <v>1.1856999999999998</v>
      </c>
      <c r="S3" s="7">
        <v>1.4142135623730951E-4</v>
      </c>
      <c r="T3" s="9">
        <f t="shared" ref="T3:T17" si="7">M3/R3</f>
        <v>0.14337624246964278</v>
      </c>
      <c r="U3" s="7">
        <f t="shared" ref="U3:U17" si="8">T3*SQRT(((S3/R3)^2)+((N3/M3)^2))</f>
        <v>0.29456957233722125</v>
      </c>
      <c r="V3" s="9">
        <f>SUM($T$2:T3)</f>
        <v>0.13039138491160326</v>
      </c>
      <c r="W3" s="7">
        <f>SQRT((U3^2)+(U2^2))</f>
        <v>0.41932711878166656</v>
      </c>
      <c r="X3" s="9">
        <f>M3/60</f>
        <v>2.8333535116042566E-3</v>
      </c>
      <c r="Y3" s="7">
        <f t="shared" ref="Y3:Y16" si="9">X3*SQRT(((N3/M3)^2))</f>
        <v>5.8211856888613651E-3</v>
      </c>
      <c r="Z3" s="7">
        <f t="shared" ref="Z3:Z16" si="10">Y3^2</f>
        <v>3.3886202824204365E-5</v>
      </c>
      <c r="AA3" s="9">
        <f>(C3-$AE$6)*24</f>
        <v>1015.516666666721</v>
      </c>
      <c r="AB3" s="15">
        <f t="shared" ref="AB3:AB16" si="11">EXP(-$AE$9*AA3)</f>
        <v>0.9972138133544719</v>
      </c>
      <c r="AC3" s="9">
        <f>X3/AB3</f>
        <v>2.8412698196320575E-3</v>
      </c>
      <c r="AE3">
        <f>LN(2)/61.4</f>
        <v>1.1289042028663604E-2</v>
      </c>
    </row>
    <row r="4" spans="1:31" x14ac:dyDescent="0.25">
      <c r="A4" s="17" t="s">
        <v>12</v>
      </c>
      <c r="B4" s="16">
        <v>43257.626388888886</v>
      </c>
      <c r="C4" s="10">
        <v>43298.836111111108</v>
      </c>
      <c r="D4" s="11">
        <v>6.68</v>
      </c>
      <c r="E4" s="12">
        <v>7.14</v>
      </c>
      <c r="F4" s="7">
        <f t="shared" si="0"/>
        <v>0.47695199999999993</v>
      </c>
      <c r="G4" s="9">
        <f t="shared" si="1"/>
        <v>-0.3100000000000005</v>
      </c>
      <c r="H4" s="7">
        <f t="shared" si="2"/>
        <v>0.68229874095442966</v>
      </c>
      <c r="I4" s="13">
        <f t="shared" si="3"/>
        <v>989.03333333332557</v>
      </c>
      <c r="J4" s="14">
        <f t="shared" si="4"/>
        <v>1.6666666666666666E-2</v>
      </c>
      <c r="K4" s="15">
        <f>1-EXP(-$AE$3*I4)</f>
        <v>0.99998584211531838</v>
      </c>
      <c r="L4" s="7">
        <f t="shared" si="5"/>
        <v>1.6851232552245058E-5</v>
      </c>
      <c r="M4" s="9">
        <f>G4/((1+K4))</f>
        <v>-0.1550010972438304</v>
      </c>
      <c r="N4" s="7">
        <f>M4*SQRT(((H4/G4)^2)+((L4/K4)^2))</f>
        <v>-0.34115178548103287</v>
      </c>
      <c r="O4" s="9">
        <f>M4*K4</f>
        <v>-0.15499890275617009</v>
      </c>
      <c r="P4" s="7">
        <f>O4*SQRT(((N4/M4)^2)+((L4/K4)^2))</f>
        <v>-0.34114695550339419</v>
      </c>
      <c r="Q4" s="9">
        <f t="shared" si="6"/>
        <v>-0.3100000000000005</v>
      </c>
      <c r="R4" s="9">
        <v>0.9668000000000001</v>
      </c>
      <c r="S4" s="7">
        <v>1.4142135623730951E-4</v>
      </c>
      <c r="T4" s="9">
        <f t="shared" si="7"/>
        <v>-0.16032384903168223</v>
      </c>
      <c r="U4" s="7">
        <f t="shared" si="8"/>
        <v>-0.35286696962605785</v>
      </c>
      <c r="V4" s="9">
        <f>SUM($T$2:T4)</f>
        <v>-2.9932464120078967E-2</v>
      </c>
      <c r="W4" s="7">
        <f>SQRT((U4^2)+(U3^2)+(U2^2))</f>
        <v>0.54804227099632663</v>
      </c>
      <c r="X4" s="9">
        <f>M4/60</f>
        <v>-2.5833516207305067E-3</v>
      </c>
      <c r="Y4" s="7">
        <f t="shared" si="9"/>
        <v>-5.685863091350548E-3</v>
      </c>
      <c r="Z4" s="7">
        <f t="shared" si="10"/>
        <v>3.2329039093582411E-5</v>
      </c>
      <c r="AA4" s="9">
        <f>(C4-$AE$6)*24</f>
        <v>1016.0666666665929</v>
      </c>
      <c r="AB4" s="15">
        <f t="shared" si="11"/>
        <v>0.99721230647153891</v>
      </c>
      <c r="AC4" s="9">
        <f>X4/AB4</f>
        <v>-2.5905733452801479E-3</v>
      </c>
    </row>
    <row r="5" spans="1:31" x14ac:dyDescent="0.25">
      <c r="A5" s="17" t="s">
        <v>13</v>
      </c>
      <c r="B5" s="16">
        <v>43257.627083333333</v>
      </c>
      <c r="C5" s="10">
        <v>43298.859027662038</v>
      </c>
      <c r="D5" s="11">
        <v>6.48</v>
      </c>
      <c r="E5" s="12">
        <v>7.25</v>
      </c>
      <c r="F5" s="7">
        <f t="shared" si="0"/>
        <v>0.4698</v>
      </c>
      <c r="G5" s="9">
        <f t="shared" si="1"/>
        <v>-0.50999999999999979</v>
      </c>
      <c r="H5" s="7">
        <f t="shared" si="2"/>
        <v>0.67731853776786588</v>
      </c>
      <c r="I5" s="13">
        <f t="shared" si="3"/>
        <v>989.56666388892336</v>
      </c>
      <c r="J5" s="14">
        <f t="shared" si="4"/>
        <v>1.6666666666666666E-2</v>
      </c>
      <c r="K5" s="15">
        <f>1-EXP(-$AE$3*I5)</f>
        <v>0.99998592710088696</v>
      </c>
      <c r="L5" s="7">
        <f t="shared" si="5"/>
        <v>1.684215195048131E-5</v>
      </c>
      <c r="M5" s="9">
        <f>G5/((1+K5))</f>
        <v>-0.25500179430726239</v>
      </c>
      <c r="N5" s="7">
        <f>M5*SQRT(((H5/G5)^2)+((L5/K5)^2))</f>
        <v>-0.3386616518867962</v>
      </c>
      <c r="O5" s="9">
        <f>M5*K5</f>
        <v>-0.25499820569273746</v>
      </c>
      <c r="P5" s="7">
        <f>O5*SQRT(((N5/M5)^2)+((L5/K5)^2))</f>
        <v>-0.33865688596276849</v>
      </c>
      <c r="Q5" s="9">
        <f t="shared" si="6"/>
        <v>-0.50999999999999979</v>
      </c>
      <c r="R5" s="9">
        <v>0.1391</v>
      </c>
      <c r="S5" s="7">
        <v>1.4142135623730951E-4</v>
      </c>
      <c r="T5" s="9">
        <f t="shared" si="7"/>
        <v>-1.8332264148616995</v>
      </c>
      <c r="U5" s="7">
        <f t="shared" si="8"/>
        <v>-2.4346639189222317</v>
      </c>
      <c r="V5" s="9">
        <f>SUM($T$2:T5)</f>
        <v>-1.8631588789817783</v>
      </c>
      <c r="W5" s="7">
        <f>SQRT((U5^2)+(U4^2)+(U3^2)+(U2^2))</f>
        <v>2.4955838452956396</v>
      </c>
      <c r="X5" s="9">
        <f>M5/60</f>
        <v>-4.2500299051210395E-3</v>
      </c>
      <c r="Y5" s="7">
        <f t="shared" si="9"/>
        <v>-5.6443608647799362E-3</v>
      </c>
      <c r="Z5" s="7">
        <f t="shared" si="10"/>
        <v>3.1858809571859311E-5</v>
      </c>
      <c r="AA5" s="9">
        <f>(C5-$AE$6)*24</f>
        <v>1016.6166638889117</v>
      </c>
      <c r="AB5" s="15">
        <f t="shared" si="11"/>
        <v>0.99721079959849279</v>
      </c>
      <c r="AC5" s="9">
        <f>X5/AB5</f>
        <v>-4.2619172464159333E-3</v>
      </c>
    </row>
    <row r="6" spans="1:31" x14ac:dyDescent="0.25">
      <c r="A6" s="17" t="s">
        <v>14</v>
      </c>
      <c r="B6" s="16">
        <v>43257.62777777778</v>
      </c>
      <c r="C6" s="10">
        <v>43298.881944270834</v>
      </c>
      <c r="D6" s="11">
        <v>6.96</v>
      </c>
      <c r="E6" s="12">
        <v>7</v>
      </c>
      <c r="F6" s="7">
        <f t="shared" si="0"/>
        <v>0.48720000000000002</v>
      </c>
      <c r="G6" s="9">
        <f t="shared" si="1"/>
        <v>-3.0000000000000249E-2</v>
      </c>
      <c r="H6" s="7">
        <f t="shared" si="2"/>
        <v>0.68950141522987463</v>
      </c>
      <c r="I6" s="13">
        <f t="shared" si="3"/>
        <v>990.09999583329773</v>
      </c>
      <c r="J6" s="14">
        <f t="shared" si="4"/>
        <v>1.6666666666666666E-2</v>
      </c>
      <c r="K6" s="15">
        <f>1-EXP(-$AE$3*I6)</f>
        <v>0.99998601157653177</v>
      </c>
      <c r="L6" s="7">
        <f t="shared" si="5"/>
        <v>1.6833081099297006E-5</v>
      </c>
      <c r="M6" s="9">
        <f>G6/((1+K6))</f>
        <v>-1.5000104913909925E-2</v>
      </c>
      <c r="N6" s="7">
        <f>M6*SQRT(((H6/G6)^2)+((L6/K6)^2))</f>
        <v>-0.34475311889133925</v>
      </c>
      <c r="O6" s="9">
        <f>M6*K6</f>
        <v>-1.4999895086090322E-2</v>
      </c>
      <c r="P6" s="7">
        <f>O6*SQRT(((N6/M6)^2)+((L6/K6)^2))</f>
        <v>-0.34474829633881265</v>
      </c>
      <c r="Q6" s="9">
        <f t="shared" si="6"/>
        <v>-3.0000000000000249E-2</v>
      </c>
      <c r="R6" s="9">
        <v>5.0900000000000389E-2</v>
      </c>
      <c r="S6" s="7">
        <v>1.4142135623730951E-4</v>
      </c>
      <c r="T6" s="9">
        <f t="shared" si="7"/>
        <v>-0.29469754251296287</v>
      </c>
      <c r="U6" s="7">
        <f t="shared" si="8"/>
        <v>-6.7731458037413201</v>
      </c>
      <c r="V6" s="9">
        <f>SUM($T$2:T6)</f>
        <v>-2.1578564214947411</v>
      </c>
      <c r="W6" s="7">
        <f>SQRT((U6^2)+(U5^2)+(U4^2)+(U3^2)+(U2^2))</f>
        <v>7.2182714556629985</v>
      </c>
      <c r="X6" s="9">
        <f>M6/60</f>
        <v>-2.5000174856516544E-4</v>
      </c>
      <c r="Y6" s="7">
        <f t="shared" si="9"/>
        <v>-5.7458853148556546E-3</v>
      </c>
      <c r="Z6" s="7">
        <f t="shared" si="10"/>
        <v>3.3015198051473863E-5</v>
      </c>
      <c r="AA6" s="9">
        <f>(C6-$AE$6)*24</f>
        <v>1017.1666625000071</v>
      </c>
      <c r="AB6" s="15">
        <f t="shared" si="11"/>
        <v>0.99720929272391878</v>
      </c>
      <c r="AC6" s="9">
        <f>X6/AB6</f>
        <v>-2.5070138273809625E-4</v>
      </c>
      <c r="AE6" s="1">
        <v>43256.5</v>
      </c>
    </row>
    <row r="7" spans="1:31" x14ac:dyDescent="0.25">
      <c r="A7" s="17" t="s">
        <v>15</v>
      </c>
      <c r="B7" s="16">
        <v>43257.628472222219</v>
      </c>
      <c r="C7" s="10">
        <v>43298.904861111114</v>
      </c>
      <c r="D7" s="11">
        <v>7.37</v>
      </c>
      <c r="E7" s="12">
        <v>6.8</v>
      </c>
      <c r="F7" s="7">
        <f t="shared" si="0"/>
        <v>0.50116000000000005</v>
      </c>
      <c r="G7" s="9">
        <f t="shared" si="1"/>
        <v>0.37999999999999989</v>
      </c>
      <c r="H7" s="7">
        <f t="shared" si="2"/>
        <v>0.69943527735166466</v>
      </c>
      <c r="I7" s="13">
        <f t="shared" si="3"/>
        <v>990.63333333347691</v>
      </c>
      <c r="J7" s="14">
        <f t="shared" si="4"/>
        <v>1.6666666666666666E-2</v>
      </c>
      <c r="K7" s="15">
        <f>1-EXP(-$AE$3*I7)</f>
        <v>0.99998609554596518</v>
      </c>
      <c r="L7" s="7">
        <f t="shared" si="5"/>
        <v>1.6824019912275317E-5</v>
      </c>
      <c r="M7" s="9">
        <f>G7/((1+K7))</f>
        <v>0.19000132093231667</v>
      </c>
      <c r="N7" s="7">
        <f>M7*SQRT(((H7/G7)^2)+((L7/K7)^2))</f>
        <v>0.34972007002376104</v>
      </c>
      <c r="O7" s="9">
        <f>M7*K7</f>
        <v>0.18999867906768322</v>
      </c>
      <c r="P7" s="7">
        <f>O7*SQRT(((N7/M7)^2)+((L7/K7)^2))</f>
        <v>0.34971520737173162</v>
      </c>
      <c r="Q7" s="9">
        <f t="shared" si="6"/>
        <v>0.37999999999999989</v>
      </c>
      <c r="R7" s="9">
        <v>0.7759999999999998</v>
      </c>
      <c r="S7" s="7">
        <v>1.4142135623730951E-4</v>
      </c>
      <c r="T7" s="9">
        <f t="shared" si="7"/>
        <v>0.24484706305710918</v>
      </c>
      <c r="U7" s="7">
        <f t="shared" si="8"/>
        <v>0.45067019553864912</v>
      </c>
      <c r="V7" s="9">
        <f>SUM($T$2:T7)</f>
        <v>-1.913009358437632</v>
      </c>
      <c r="W7" s="7">
        <f>SQRT((U7^2)+(U6^2)+(U5^2)+(U4^2)+(U3^2)+(U2^2))</f>
        <v>7.2323264882599201</v>
      </c>
      <c r="X7" s="9">
        <f>M7/60</f>
        <v>3.1666886822052779E-3</v>
      </c>
      <c r="Y7" s="7">
        <f t="shared" si="9"/>
        <v>5.8286678337293512E-3</v>
      </c>
      <c r="Z7" s="7">
        <f t="shared" si="10"/>
        <v>3.3973368715951205E-5</v>
      </c>
      <c r="AA7" s="9">
        <f>(C7-$AE$6)*24</f>
        <v>1017.7166666667326</v>
      </c>
      <c r="AB7" s="15">
        <f t="shared" si="11"/>
        <v>0.99720778583640068</v>
      </c>
      <c r="AC7" s="9">
        <f>X7/AB7</f>
        <v>3.1755555132867729E-3</v>
      </c>
    </row>
    <row r="8" spans="1:31" x14ac:dyDescent="0.25">
      <c r="A8" s="17" t="s">
        <v>16</v>
      </c>
      <c r="B8" s="16">
        <v>43257.629166666666</v>
      </c>
      <c r="C8" s="10">
        <v>43298.927777488425</v>
      </c>
      <c r="D8" s="11">
        <v>225.43</v>
      </c>
      <c r="E8" s="12">
        <v>1.23</v>
      </c>
      <c r="F8" s="7">
        <f t="shared" si="0"/>
        <v>2.7727889999999999</v>
      </c>
      <c r="G8" s="9">
        <f t="shared" si="1"/>
        <v>218.44</v>
      </c>
      <c r="H8" s="7">
        <f t="shared" si="2"/>
        <v>2.8153875754725139</v>
      </c>
      <c r="I8" s="13">
        <f t="shared" si="3"/>
        <v>991.16665972222108</v>
      </c>
      <c r="J8" s="14">
        <f t="shared" si="4"/>
        <v>1.6666666666666666E-2</v>
      </c>
      <c r="K8" s="15">
        <f>1-EXP(-$AE$3*I8)</f>
        <v>0.99998617900961484</v>
      </c>
      <c r="L8" s="7">
        <f t="shared" si="5"/>
        <v>1.6814968656732017E-5</v>
      </c>
      <c r="M8" s="9">
        <f>G8/((1+K8))</f>
        <v>109.22075476950076</v>
      </c>
      <c r="N8" s="7">
        <f>M8*SQRT(((H8/G8)^2)+((L8/K8)^2))</f>
        <v>1.4077047137095493</v>
      </c>
      <c r="O8" s="9">
        <f>M8*K8</f>
        <v>109.21924523049923</v>
      </c>
      <c r="P8" s="7">
        <f>O8*SQRT(((N8/M8)^2)+((L8/K8)^2))</f>
        <v>1.4076864558635733</v>
      </c>
      <c r="Q8" s="9">
        <f t="shared" si="6"/>
        <v>218.44</v>
      </c>
      <c r="R8" s="9">
        <v>0.99270000000000014</v>
      </c>
      <c r="S8" s="7">
        <v>1.4142135623730951E-4</v>
      </c>
      <c r="T8" s="9">
        <f t="shared" si="7"/>
        <v>110.02392945451874</v>
      </c>
      <c r="U8" s="7">
        <f t="shared" si="8"/>
        <v>1.4181431489991732</v>
      </c>
      <c r="V8" s="9">
        <f>SUM($T$2:T8)</f>
        <v>108.1109200960811</v>
      </c>
      <c r="W8" s="7">
        <f>SQRT((U8^2)+(U7^2)+(U6^2)+(U5^2)+(U4^2)+(U3^2)+(U2^2))</f>
        <v>7.3700526744277308</v>
      </c>
      <c r="X8" s="9">
        <f>M8/60</f>
        <v>1.8203459128250126</v>
      </c>
      <c r="Y8" s="7">
        <f t="shared" si="9"/>
        <v>2.3461745228492488E-2</v>
      </c>
      <c r="Z8" s="7">
        <f t="shared" si="10"/>
        <v>5.5045348916669002E-4</v>
      </c>
      <c r="AA8" s="9">
        <f>(C8-$AE$6)*24</f>
        <v>1018.2666597221978</v>
      </c>
      <c r="AB8" s="15">
        <f t="shared" si="11"/>
        <v>0.99720627898160186</v>
      </c>
      <c r="AC8" s="9">
        <f>X8/AB8</f>
        <v>1.8254456988418115</v>
      </c>
      <c r="AE8" t="s">
        <v>29</v>
      </c>
    </row>
    <row r="9" spans="1:31" x14ac:dyDescent="0.25">
      <c r="A9" s="17" t="s">
        <v>17</v>
      </c>
      <c r="B9" s="16">
        <v>43257.629861111112</v>
      </c>
      <c r="C9" s="10">
        <v>43298.950694097221</v>
      </c>
      <c r="D9" s="11">
        <v>749.9</v>
      </c>
      <c r="E9" s="12">
        <v>0.67</v>
      </c>
      <c r="F9" s="7">
        <f t="shared" si="0"/>
        <v>5.02433</v>
      </c>
      <c r="G9" s="9">
        <f t="shared" si="1"/>
        <v>742.91</v>
      </c>
      <c r="H9" s="7">
        <f t="shared" si="2"/>
        <v>5.0479639767438913</v>
      </c>
      <c r="I9" s="13">
        <f t="shared" si="3"/>
        <v>991.69999166659545</v>
      </c>
      <c r="J9" s="14">
        <f t="shared" si="4"/>
        <v>1.6666666666666666E-2</v>
      </c>
      <c r="K9" s="15">
        <f>1-EXP(-$AE$3*I9)</f>
        <v>0.99998626197312268</v>
      </c>
      <c r="L9" s="7">
        <f t="shared" si="5"/>
        <v>1.6805927033984708E-5</v>
      </c>
      <c r="M9" s="9">
        <f>G9/((1+K9))</f>
        <v>371.45755154691346</v>
      </c>
      <c r="N9" s="7">
        <f>M9*SQRT(((H9/G9)^2)+((L9/K9)^2))</f>
        <v>2.524007046078431</v>
      </c>
      <c r="O9" s="9">
        <f>M9*K9</f>
        <v>371.4524484530865</v>
      </c>
      <c r="P9" s="7">
        <f>O9*SQRT(((N9/M9)^2)+((L9/K9)^2))</f>
        <v>2.5239800913933146</v>
      </c>
      <c r="Q9" s="9">
        <f t="shared" si="6"/>
        <v>742.91</v>
      </c>
      <c r="R9" s="9">
        <v>0.85920000000000041</v>
      </c>
      <c r="S9" s="7">
        <v>1.4142135623730951E-4</v>
      </c>
      <c r="T9" s="9">
        <f t="shared" si="7"/>
        <v>432.32955254529014</v>
      </c>
      <c r="U9" s="7">
        <f t="shared" si="8"/>
        <v>2.9384863381358808</v>
      </c>
      <c r="V9" s="9">
        <f>SUM($T$2:T9)</f>
        <v>540.44047264137123</v>
      </c>
      <c r="W9" s="7">
        <f>SQRT((U9^2)+(U8^2)+(U7^2)+(U6^2)+(U5^2)+(U4^2)+(U3^2)+(U2^2))</f>
        <v>7.9342534861983438</v>
      </c>
      <c r="X9" s="9">
        <f>M9/60</f>
        <v>6.1909591924485579</v>
      </c>
      <c r="Y9" s="7">
        <f t="shared" si="9"/>
        <v>4.2066784101307188E-2</v>
      </c>
      <c r="Z9" s="7">
        <f t="shared" si="10"/>
        <v>1.7696143246259911E-3</v>
      </c>
      <c r="AA9" s="9">
        <f>(C9-$AE$6)*24</f>
        <v>1018.8166583332932</v>
      </c>
      <c r="AB9" s="15">
        <f t="shared" si="11"/>
        <v>0.99720477211385894</v>
      </c>
      <c r="AC9" s="9">
        <f>X9/AB9</f>
        <v>6.2083128416293683</v>
      </c>
      <c r="AE9">
        <f>LN(2)/252288</f>
        <v>2.7474441137110973E-6</v>
      </c>
    </row>
    <row r="10" spans="1:31" x14ac:dyDescent="0.25">
      <c r="A10" s="17" t="s">
        <v>18</v>
      </c>
      <c r="B10" s="16">
        <v>43257.630555555559</v>
      </c>
      <c r="C10" s="10">
        <v>43298.973610706016</v>
      </c>
      <c r="D10" s="11">
        <v>400.49</v>
      </c>
      <c r="E10" s="12">
        <v>0.92</v>
      </c>
      <c r="F10" s="7">
        <f>D10*(E10/100)</f>
        <v>3.6845080000000001</v>
      </c>
      <c r="G10" s="9">
        <f t="shared" si="1"/>
        <v>393.5</v>
      </c>
      <c r="H10" s="7">
        <f t="shared" si="2"/>
        <v>3.7166715705948516</v>
      </c>
      <c r="I10" s="13">
        <f t="shared" si="3"/>
        <v>992.23332361096982</v>
      </c>
      <c r="J10" s="14">
        <f t="shared" si="4"/>
        <v>1.6666666666666666E-2</v>
      </c>
      <c r="K10" s="15">
        <f>1-EXP(-$AE$3*I10)</f>
        <v>0.99998634443862389</v>
      </c>
      <c r="L10" s="7">
        <f t="shared" si="5"/>
        <v>1.6796895122735834E-5</v>
      </c>
      <c r="M10" s="9">
        <f>G10/((1+K10))</f>
        <v>196.75134337502266</v>
      </c>
      <c r="N10" s="7">
        <f>M10*SQRT(((H10/G10)^2)+((L10/K10)^2))</f>
        <v>1.8583514123428189</v>
      </c>
      <c r="O10" s="9">
        <f>M10*K10</f>
        <v>196.74865662497737</v>
      </c>
      <c r="P10" s="7">
        <f>O10*SQRT(((N10/M10)^2)+((L10/K10)^2))</f>
        <v>1.8583289741158462</v>
      </c>
      <c r="Q10" s="9">
        <f t="shared" si="6"/>
        <v>393.5</v>
      </c>
      <c r="R10" s="9">
        <v>0.99299999999999944</v>
      </c>
      <c r="S10" s="7">
        <v>1.4142135623730951E-4</v>
      </c>
      <c r="T10" s="9">
        <f t="shared" si="7"/>
        <v>198.13831155591416</v>
      </c>
      <c r="U10" s="7">
        <f t="shared" si="8"/>
        <v>1.871664306492193</v>
      </c>
      <c r="V10" s="9">
        <f>SUM($T$2:T10)</f>
        <v>738.57878419728536</v>
      </c>
      <c r="W10" s="7">
        <f>SQRT((U10^2)+(U9^2)+(U8^2)+(U7^2)+(U6^2)+(U5^2)+(U4^2)+(U3^2)+(U2^2))</f>
        <v>8.1520246356011139</v>
      </c>
      <c r="X10" s="9">
        <f>M10/60</f>
        <v>3.2791890562503778</v>
      </c>
      <c r="Y10" s="7">
        <f t="shared" si="9"/>
        <v>3.0972523539046986E-2</v>
      </c>
      <c r="Z10" s="7">
        <f t="shared" si="10"/>
        <v>9.5929721437681959E-4</v>
      </c>
      <c r="AA10" s="9">
        <f>(C10-$AE$6)*24</f>
        <v>1019.3666569443885</v>
      </c>
      <c r="AB10" s="15">
        <f t="shared" si="11"/>
        <v>0.99720326524839298</v>
      </c>
      <c r="AC10" s="9">
        <f>X10/AB10</f>
        <v>3.2883857990913876</v>
      </c>
    </row>
    <row r="11" spans="1:31" x14ac:dyDescent="0.25">
      <c r="A11" s="17" t="s">
        <v>19</v>
      </c>
      <c r="B11" s="16">
        <v>43257.631249999999</v>
      </c>
      <c r="C11" s="10">
        <v>43298.996527314812</v>
      </c>
      <c r="D11" s="11">
        <v>92.8</v>
      </c>
      <c r="E11" s="12">
        <v>1.92</v>
      </c>
      <c r="F11" s="7">
        <f t="shared" si="0"/>
        <v>1.7817599999999998</v>
      </c>
      <c r="G11" s="9">
        <f t="shared" si="1"/>
        <v>85.81</v>
      </c>
      <c r="H11" s="7">
        <f t="shared" si="2"/>
        <v>1.8473540697992898</v>
      </c>
      <c r="I11" s="13">
        <f t="shared" si="3"/>
        <v>992.76665555551881</v>
      </c>
      <c r="J11" s="14">
        <f t="shared" si="4"/>
        <v>1.6666666666666666E-2</v>
      </c>
      <c r="K11" s="15">
        <f>1-EXP(-$AE$3*I11)</f>
        <v>0.99998642640910795</v>
      </c>
      <c r="L11" s="7">
        <f t="shared" si="5"/>
        <v>1.6787872907381062E-5</v>
      </c>
      <c r="M11" s="9">
        <f>G11/((1+K11))</f>
        <v>42.905291189434855</v>
      </c>
      <c r="N11" s="7">
        <f>M11*SQRT(((H11/G11)^2)+((L11/K11)^2))</f>
        <v>0.92368358459751221</v>
      </c>
      <c r="O11" s="9">
        <f>M11*K11</f>
        <v>42.904708810565147</v>
      </c>
      <c r="P11" s="7">
        <f>O11*SQRT(((N11/M11)^2)+((L11/K11)^2))</f>
        <v>0.92367132773875149</v>
      </c>
      <c r="Q11" s="9">
        <f t="shared" si="6"/>
        <v>85.81</v>
      </c>
      <c r="R11" s="9">
        <v>0.9623999999999997</v>
      </c>
      <c r="S11" s="7">
        <v>1.4142135623730951E-4</v>
      </c>
      <c r="T11" s="9">
        <f t="shared" si="7"/>
        <v>44.581557761258175</v>
      </c>
      <c r="U11" s="7">
        <f t="shared" si="8"/>
        <v>0.95979333086144247</v>
      </c>
      <c r="V11" s="9">
        <f>SUM($T$2:T11)</f>
        <v>783.16034195854354</v>
      </c>
      <c r="W11" s="7">
        <f>SQRT((U11^2)+(U10^2)+(U9^2)+(U8^2)+(U7^2)+(U6^2)+(U5^2)+(U4^2)+(U3^2)+(U2^2))</f>
        <v>8.2083316756460061</v>
      </c>
      <c r="X11" s="9">
        <f>M11/60</f>
        <v>0.71508818649058092</v>
      </c>
      <c r="Y11" s="7">
        <f t="shared" si="9"/>
        <v>1.5394726409958537E-2</v>
      </c>
      <c r="Z11" s="7">
        <f t="shared" si="10"/>
        <v>2.3699760123747487E-4</v>
      </c>
      <c r="AA11" s="9">
        <f>(C11-$AE$6)*24</f>
        <v>1019.9166555554839</v>
      </c>
      <c r="AB11" s="15">
        <f t="shared" si="11"/>
        <v>0.99720175838520408</v>
      </c>
      <c r="AC11" s="9">
        <f>X11/AB11</f>
        <v>0.71709479097644457</v>
      </c>
    </row>
    <row r="12" spans="1:31" x14ac:dyDescent="0.25">
      <c r="A12" s="17" t="s">
        <v>20</v>
      </c>
      <c r="B12" s="16">
        <v>43257.631944444445</v>
      </c>
      <c r="C12" s="10">
        <v>43299.019443923615</v>
      </c>
      <c r="D12" s="11">
        <v>25.55</v>
      </c>
      <c r="E12" s="12">
        <v>3.65</v>
      </c>
      <c r="F12" s="7">
        <f t="shared" si="0"/>
        <v>0.93257499999999993</v>
      </c>
      <c r="G12" s="9">
        <f t="shared" si="1"/>
        <v>18.560000000000002</v>
      </c>
      <c r="H12" s="7">
        <f t="shared" si="2"/>
        <v>1.0524944143457484</v>
      </c>
      <c r="I12" s="13">
        <f t="shared" si="3"/>
        <v>993.2999875000678</v>
      </c>
      <c r="J12" s="14">
        <f t="shared" si="4"/>
        <v>1.6666666666666666E-2</v>
      </c>
      <c r="K12" s="15">
        <f>1-EXP(-$AE$3*I12)</f>
        <v>0.99998650788754628</v>
      </c>
      <c r="L12" s="7">
        <f t="shared" si="5"/>
        <v>1.6778860372355165E-5</v>
      </c>
      <c r="M12" s="9">
        <f>G12/((1+K12))</f>
        <v>9.2800626038241152</v>
      </c>
      <c r="N12" s="7">
        <f>M12*SQRT(((H12/G12)^2)+((L12/K12)^2))</f>
        <v>0.52625078032653072</v>
      </c>
      <c r="O12" s="9">
        <f>M12*K12</f>
        <v>9.2799373961758871</v>
      </c>
      <c r="P12" s="7">
        <f>O12*SQRT(((N12/M12)^2)+((L12/K12)^2))</f>
        <v>0.52624370312797031</v>
      </c>
      <c r="Q12" s="9">
        <f t="shared" si="6"/>
        <v>18.560000000000002</v>
      </c>
      <c r="R12" s="9">
        <v>0.89730000000000043</v>
      </c>
      <c r="S12" s="7">
        <v>1.4142135623730951E-4</v>
      </c>
      <c r="T12" s="9">
        <f t="shared" si="7"/>
        <v>10.342207292794061</v>
      </c>
      <c r="U12" s="7">
        <f t="shared" si="8"/>
        <v>0.58648480200316333</v>
      </c>
      <c r="V12" s="9">
        <f>SUM($T$2:T12)</f>
        <v>793.50254925133765</v>
      </c>
      <c r="W12" s="7">
        <f>SQRT((U12^2)+(U11^2)+(U10^2)+(U9^2)+(U8^2)+(U7^2)+(U6^2)+(U5^2)+(U4^2)+(U3^2)+(U2^2))</f>
        <v>8.2292571548344675</v>
      </c>
      <c r="X12" s="9">
        <f>M12/60</f>
        <v>0.15466771006373525</v>
      </c>
      <c r="Y12" s="7">
        <f t="shared" si="9"/>
        <v>8.7708463387755117E-3</v>
      </c>
      <c r="Z12" s="7">
        <f t="shared" si="10"/>
        <v>7.69277454984118E-5</v>
      </c>
      <c r="AA12" s="9">
        <f>(C12-$AE$6)*24</f>
        <v>1020.4666541667539</v>
      </c>
      <c r="AB12" s="15">
        <f t="shared" si="11"/>
        <v>0.99720025152429159</v>
      </c>
      <c r="AC12" s="9">
        <f>X12/AB12</f>
        <v>0.15510195653010983</v>
      </c>
    </row>
    <row r="13" spans="1:31" x14ac:dyDescent="0.25">
      <c r="A13" s="17" t="s">
        <v>21</v>
      </c>
      <c r="B13" s="16">
        <v>43257.632638888892</v>
      </c>
      <c r="C13" s="10">
        <v>43299.04236053241</v>
      </c>
      <c r="D13" s="11">
        <v>15.96</v>
      </c>
      <c r="E13" s="12">
        <v>4.62</v>
      </c>
      <c r="F13" s="7">
        <f t="shared" si="0"/>
        <v>0.73735200000000001</v>
      </c>
      <c r="G13" s="9">
        <f t="shared" si="1"/>
        <v>8.9700000000000006</v>
      </c>
      <c r="H13" s="7">
        <f t="shared" si="2"/>
        <v>0.88415854545890127</v>
      </c>
      <c r="I13" s="13">
        <f t="shared" si="3"/>
        <v>993.83331944444217</v>
      </c>
      <c r="J13" s="14">
        <f t="shared" si="4"/>
        <v>1.6666666666666666E-2</v>
      </c>
      <c r="K13" s="15">
        <f>1-EXP(-$AE$3*I13)</f>
        <v>0.99998658887689262</v>
      </c>
      <c r="L13" s="7">
        <f t="shared" si="5"/>
        <v>1.6769857502126046E-5</v>
      </c>
      <c r="M13" s="9">
        <f>G13/((1+K13))</f>
        <v>4.4850300746452358</v>
      </c>
      <c r="N13" s="7">
        <f>M13*SQRT(((H13/G13)^2)+((L13/K13)^2))</f>
        <v>0.44208224353745434</v>
      </c>
      <c r="O13" s="9">
        <f>M13*K13</f>
        <v>4.4849699253547648</v>
      </c>
      <c r="P13" s="7">
        <f>O13*SQRT(((N13/M13)^2)+((L13/K13)^2))</f>
        <v>0.44207632111632761</v>
      </c>
      <c r="Q13" s="9">
        <f t="shared" si="6"/>
        <v>8.9700000000000006</v>
      </c>
      <c r="R13" s="9">
        <v>0.99949999999999939</v>
      </c>
      <c r="S13" s="7">
        <v>1.4142135623730951E-4</v>
      </c>
      <c r="T13" s="9">
        <f t="shared" si="7"/>
        <v>4.4872737115009889</v>
      </c>
      <c r="U13" s="7">
        <f t="shared" si="8"/>
        <v>0.44230385093507202</v>
      </c>
      <c r="V13" s="9">
        <f>SUM($T$2:T13)</f>
        <v>797.98982296283862</v>
      </c>
      <c r="W13" s="7">
        <f>SQRT((U13^2)+(U12^2)+(U11^2)+(U10^2)+(U9^2)+(U8^2)+(U7^2)+(U6^2)+(U5^2)+(U4^2)+(U3^2)+(U2^2))</f>
        <v>8.241134995675429</v>
      </c>
      <c r="X13" s="9">
        <f>M13/60</f>
        <v>7.4750501244087261E-2</v>
      </c>
      <c r="Y13" s="7">
        <f t="shared" si="9"/>
        <v>7.3680373922909055E-3</v>
      </c>
      <c r="Z13" s="7">
        <f t="shared" si="10"/>
        <v>5.4287975014196968E-5</v>
      </c>
      <c r="AA13" s="9">
        <f>(C13-$AE$6)*24</f>
        <v>1021.0166527778492</v>
      </c>
      <c r="AB13" s="15">
        <f t="shared" si="11"/>
        <v>0.99719874466565672</v>
      </c>
      <c r="AC13" s="9">
        <f>X13/AB13</f>
        <v>7.4960484701722924E-2</v>
      </c>
    </row>
    <row r="14" spans="1:31" x14ac:dyDescent="0.25">
      <c r="A14" s="17" t="s">
        <v>22</v>
      </c>
      <c r="B14" s="16">
        <v>43257.633333333331</v>
      </c>
      <c r="C14" s="10">
        <v>43299.065277141206</v>
      </c>
      <c r="D14" s="11">
        <v>11.36</v>
      </c>
      <c r="E14" s="12">
        <v>5.48</v>
      </c>
      <c r="F14" s="7">
        <f t="shared" si="0"/>
        <v>0.62252799999999997</v>
      </c>
      <c r="G14" s="9">
        <f t="shared" si="1"/>
        <v>4.3699999999999992</v>
      </c>
      <c r="H14" s="7">
        <f t="shared" si="2"/>
        <v>0.79094214225061998</v>
      </c>
      <c r="I14" s="13">
        <f t="shared" si="3"/>
        <v>994.36665138899116</v>
      </c>
      <c r="J14" s="14">
        <f t="shared" si="4"/>
        <v>1.6666666666666666E-2</v>
      </c>
      <c r="K14" s="15">
        <f>1-EXP(-$AE$3*I14)</f>
        <v>0.99998666938008274</v>
      </c>
      <c r="L14" s="7">
        <f t="shared" si="5"/>
        <v>1.6760864281185772E-5</v>
      </c>
      <c r="M14" s="9">
        <f>G14/((1+K14))</f>
        <v>2.1850145637993315</v>
      </c>
      <c r="N14" s="7">
        <f>M14*SQRT(((H14/G14)^2)+((L14/K14)^2))</f>
        <v>0.39547370877591237</v>
      </c>
      <c r="O14" s="9">
        <f>M14*K14</f>
        <v>2.1849854362006678</v>
      </c>
      <c r="P14" s="7">
        <f>O14*SQRT(((N14/M14)^2)+((L14/K14)^2))</f>
        <v>0.39546843856195496</v>
      </c>
      <c r="Q14" s="9">
        <f t="shared" si="6"/>
        <v>4.3699999999999992</v>
      </c>
      <c r="R14" s="9">
        <v>0.96889999999999965</v>
      </c>
      <c r="S14" s="7">
        <v>1.4142135623730951E-4</v>
      </c>
      <c r="T14" s="9">
        <f t="shared" si="7"/>
        <v>2.2551497200942641</v>
      </c>
      <c r="U14" s="7">
        <f t="shared" si="8"/>
        <v>0.40816785774958669</v>
      </c>
      <c r="V14" s="9">
        <f>SUM($T$2:T14)</f>
        <v>800.24497268293283</v>
      </c>
      <c r="W14" s="7">
        <f>SQRT((U14^2)+(U13^2)+(U12^2)+(U11^2)+(U10^2)+(U9^2)+(U8^2)+(U7^2)+(U6^2)+(U5^2)+(U4^2)+(U3^2)+(U2^2))</f>
        <v>8.251236696219916</v>
      </c>
      <c r="X14" s="9">
        <f>M14/60</f>
        <v>3.6416909396655525E-2</v>
      </c>
      <c r="Y14" s="7">
        <f t="shared" si="9"/>
        <v>6.5912284795985399E-3</v>
      </c>
      <c r="Z14" s="7">
        <f t="shared" si="10"/>
        <v>4.3444292870270881E-5</v>
      </c>
      <c r="AA14" s="9">
        <f>(C14-$AE$6)*24</f>
        <v>1021.5666513889446</v>
      </c>
      <c r="AB14" s="15">
        <f t="shared" si="11"/>
        <v>0.99719723780929881</v>
      </c>
      <c r="AC14" s="9">
        <f>X14/AB14</f>
        <v>3.651926420961446E-2</v>
      </c>
    </row>
    <row r="15" spans="1:31" x14ac:dyDescent="0.25">
      <c r="A15" s="17" t="s">
        <v>23</v>
      </c>
      <c r="B15" s="16">
        <v>43257.634027777778</v>
      </c>
      <c r="C15" s="10">
        <v>43299.088193750002</v>
      </c>
      <c r="D15" s="11">
        <v>9.5500000000000007</v>
      </c>
      <c r="E15" s="12">
        <v>5.98</v>
      </c>
      <c r="F15" s="7">
        <f t="shared" si="0"/>
        <v>0.5710900000000001</v>
      </c>
      <c r="G15" s="9">
        <f t="shared" si="1"/>
        <v>2.5600000000000005</v>
      </c>
      <c r="H15" s="7">
        <f t="shared" si="2"/>
        <v>0.75112725267027836</v>
      </c>
      <c r="I15" s="13">
        <f t="shared" si="3"/>
        <v>994.89998333336553</v>
      </c>
      <c r="J15" s="14">
        <f t="shared" si="4"/>
        <v>1.6666666666666666E-2</v>
      </c>
      <c r="K15" s="15">
        <f>1-EXP(-$AE$3*I15)</f>
        <v>0.99998674940003485</v>
      </c>
      <c r="L15" s="7">
        <f t="shared" si="5"/>
        <v>1.675188069407115E-5</v>
      </c>
      <c r="M15" s="9">
        <f>G15/((1+K15))</f>
        <v>1.2800084804401635</v>
      </c>
      <c r="N15" s="7">
        <f>M15*SQRT(((H15/G15)^2)+((L15/K15)^2))</f>
        <v>0.37556611518544764</v>
      </c>
      <c r="O15" s="9">
        <f>M15*K15</f>
        <v>1.2799915195598373</v>
      </c>
      <c r="P15" s="7">
        <f>O15*SQRT(((N15/M15)^2)+((L15/K15)^2))</f>
        <v>0.37556113932122281</v>
      </c>
      <c r="Q15" s="9">
        <f t="shared" si="6"/>
        <v>2.5600000000000005</v>
      </c>
      <c r="R15" s="9">
        <v>0.8952</v>
      </c>
      <c r="S15" s="7">
        <v>1.4142135623730951E-4</v>
      </c>
      <c r="T15" s="9">
        <f t="shared" si="7"/>
        <v>1.4298575518768581</v>
      </c>
      <c r="U15" s="7">
        <f t="shared" si="8"/>
        <v>0.4195332547174549</v>
      </c>
      <c r="V15" s="9">
        <f>SUM($T$2:T15)</f>
        <v>801.67483023480963</v>
      </c>
      <c r="W15" s="7">
        <f>SQRT((U15^2)+(U14^2)+(U13^2)+(U12^2)+(U11^2)+(U10^2)+(U9^2)+(U8^2)+(U7^2)+(U6^2)+(U5^2)+(U4^2)+(U3^2)+(U2^2))</f>
        <v>8.2618953738751717</v>
      </c>
      <c r="X15" s="9">
        <f>M15/60</f>
        <v>2.1333474674002723E-2</v>
      </c>
      <c r="Y15" s="7">
        <f t="shared" si="9"/>
        <v>6.2594352530907929E-3</v>
      </c>
      <c r="Z15" s="7">
        <f t="shared" si="10"/>
        <v>3.9180529687635802E-5</v>
      </c>
      <c r="AA15" s="9">
        <f>(C15-$AE$6)*24</f>
        <v>1022.11665000004</v>
      </c>
      <c r="AB15" s="15">
        <f t="shared" si="11"/>
        <v>0.99719573095521785</v>
      </c>
      <c r="AC15" s="9">
        <f>X15/AB15</f>
        <v>2.1393467713271597E-2</v>
      </c>
    </row>
    <row r="16" spans="1:31" x14ac:dyDescent="0.25">
      <c r="A16" s="17" t="s">
        <v>24</v>
      </c>
      <c r="B16" s="16">
        <v>43257.634722222225</v>
      </c>
      <c r="C16" s="10">
        <v>43299.111110358797</v>
      </c>
      <c r="D16" s="11">
        <v>8.8699999999999992</v>
      </c>
      <c r="E16" s="12">
        <v>6.2</v>
      </c>
      <c r="F16" s="7">
        <f t="shared" si="0"/>
        <v>0.54993999999999998</v>
      </c>
      <c r="G16" s="9">
        <f t="shared" si="1"/>
        <v>1.879999999999999</v>
      </c>
      <c r="H16" s="7">
        <f t="shared" si="2"/>
        <v>0.73517505752303647</v>
      </c>
      <c r="I16" s="13">
        <f t="shared" si="3"/>
        <v>995.43331527773989</v>
      </c>
      <c r="J16" s="14">
        <f t="shared" si="4"/>
        <v>1.6666666666666666E-2</v>
      </c>
      <c r="K16" s="15">
        <f>1-EXP(-$AE$3*I16)</f>
        <v>0.99998682893964974</v>
      </c>
      <c r="L16" s="7">
        <f t="shared" si="5"/>
        <v>1.6742906725343012E-5</v>
      </c>
      <c r="M16" s="9">
        <f>G16/((1+K16))</f>
        <v>0.94000619043913147</v>
      </c>
      <c r="N16" s="7">
        <f>M16*SQRT(((H16/G16)^2)+((L16/K16)^2))</f>
        <v>0.36758994987315402</v>
      </c>
      <c r="O16" s="9">
        <f>M16*K16</f>
        <v>0.93999380956086753</v>
      </c>
      <c r="P16" s="7">
        <f>O16*SQRT(((N16/M16)^2)+((L16/K16)^2))</f>
        <v>0.36758510866066663</v>
      </c>
      <c r="Q16" s="9">
        <f t="shared" si="6"/>
        <v>1.879999999999999</v>
      </c>
      <c r="R16" s="9">
        <v>0.90810000000000013</v>
      </c>
      <c r="S16" s="7">
        <v>1.4142135623730951E-4</v>
      </c>
      <c r="T16" s="9">
        <f t="shared" si="7"/>
        <v>1.0351351067494012</v>
      </c>
      <c r="U16" s="7">
        <f t="shared" si="8"/>
        <v>0.40479019824095175</v>
      </c>
      <c r="V16" s="9">
        <f>SUM($T$2:T16)</f>
        <v>802.70996534155904</v>
      </c>
      <c r="W16" s="7">
        <f>SQRT((U16^2)+(U15^2)+(U14^2)+(U13^2)+(U12^2)+(U11^2)+(U10^2)+(U9^2)+(U8^2)+(U7^2)+(U6^2)+(U5^2)+(U4^2)+(U3^2)+(U2^2))</f>
        <v>8.2718057444219468</v>
      </c>
      <c r="X16" s="9">
        <f>M16/60</f>
        <v>1.5666769840652191E-2</v>
      </c>
      <c r="Y16" s="7">
        <f t="shared" si="9"/>
        <v>6.1264991645525674E-3</v>
      </c>
      <c r="Z16" s="7">
        <f t="shared" si="10"/>
        <v>3.7533992013263304E-5</v>
      </c>
      <c r="AA16" s="9">
        <f>(C16-$AE$6)*24</f>
        <v>1022.6666486111353</v>
      </c>
      <c r="AB16" s="15">
        <f t="shared" si="11"/>
        <v>0.99719422410341385</v>
      </c>
      <c r="AC16" s="9">
        <f>X16/AB16</f>
        <v>1.5710850967611975E-2</v>
      </c>
    </row>
    <row r="17" spans="1:31" ht="15.75" thickBot="1" x14ac:dyDescent="0.3">
      <c r="A17" s="18" t="s">
        <v>25</v>
      </c>
      <c r="B17" s="16">
        <v>43257.625</v>
      </c>
      <c r="C17" s="10">
        <v>43299.131944444445</v>
      </c>
      <c r="D17" s="11">
        <v>6.99</v>
      </c>
      <c r="E17" s="12">
        <v>6.98</v>
      </c>
      <c r="F17" s="7">
        <f t="shared" si="0"/>
        <v>0.487902</v>
      </c>
      <c r="G17" s="9">
        <f t="shared" si="1"/>
        <v>0</v>
      </c>
      <c r="H17" s="7">
        <f t="shared" si="2"/>
        <v>0.68999762550895782</v>
      </c>
      <c r="I17" s="13">
        <f t="shared" si="3"/>
        <v>996.16666666668607</v>
      </c>
      <c r="J17" s="14"/>
      <c r="K17" s="15">
        <f>1-EXP(-$AE$3*I17)</f>
        <v>0.99998693753055723</v>
      </c>
      <c r="L17" s="7">
        <f t="shared" si="5"/>
        <v>0</v>
      </c>
      <c r="M17" s="9">
        <f>G17/((1+K17))</f>
        <v>0</v>
      </c>
      <c r="N17" s="7"/>
      <c r="O17" s="9">
        <f>M17*K17</f>
        <v>0</v>
      </c>
      <c r="P17" s="7" t="e">
        <f>O17*SQRT(((N17/M17)^2)+((L17/K17)^2))</f>
        <v>#DIV/0!</v>
      </c>
      <c r="Q17" s="9">
        <f t="shared" si="6"/>
        <v>0</v>
      </c>
      <c r="R17" s="9"/>
      <c r="S17" s="7"/>
      <c r="T17" s="9" t="e">
        <f t="shared" si="7"/>
        <v>#DIV/0!</v>
      </c>
      <c r="U17" s="7" t="e">
        <f t="shared" si="8"/>
        <v>#DIV/0!</v>
      </c>
      <c r="V17" s="9" t="e">
        <f>SUM($T$2:T17)</f>
        <v>#DIV/0!</v>
      </c>
      <c r="W17" s="7" t="e">
        <f t="shared" ref="W17" si="12">SQRT((U17^2))</f>
        <v>#DIV/0!</v>
      </c>
      <c r="X17" s="9">
        <f>M17/60</f>
        <v>0</v>
      </c>
      <c r="Y17" s="7"/>
      <c r="Z17" s="7"/>
      <c r="AA17" s="9"/>
      <c r="AB17" s="9"/>
      <c r="AC17" s="9"/>
    </row>
    <row r="18" spans="1:31" x14ac:dyDescent="0.25">
      <c r="C18" s="1"/>
    </row>
    <row r="22" spans="1:31" x14ac:dyDescent="0.25">
      <c r="Y22" s="30" t="s">
        <v>48</v>
      </c>
    </row>
    <row r="23" spans="1:31" s="2" customFormat="1" x14ac:dyDescent="0.25">
      <c r="E23" s="4"/>
      <c r="F23" s="4"/>
      <c r="H23" s="4"/>
      <c r="J23" s="4"/>
      <c r="L23" s="4"/>
      <c r="N23" s="4"/>
      <c r="P23" s="4"/>
      <c r="S23" s="4"/>
      <c r="U23" s="4"/>
      <c r="W23" s="4" t="s">
        <v>47</v>
      </c>
      <c r="X23" s="2">
        <f>SUM(X2:X17)</f>
        <v>12.307084370362206</v>
      </c>
      <c r="Y23" s="4">
        <f>SQRT(SUM(Z2:Z16))</f>
        <v>6.2974717085253887E-2</v>
      </c>
      <c r="Z23" s="4"/>
      <c r="AC23">
        <f>SUM(AC2:AC16)</f>
        <v>12.341588088098534</v>
      </c>
      <c r="AD23"/>
      <c r="AE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CT7R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2021-06-15T16:13:46Z</dcterms:modified>
</cp:coreProperties>
</file>